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<sst xmlns="http://schemas.openxmlformats.org/spreadsheetml/2006/main" count="1423" uniqueCount="258">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</sst>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41660647.169999994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9" sqref="E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5" t="s">
        <v>254</v>
      </c>
      <c r="L4" s="166"/>
      <c r="M4" s="204"/>
      <c r="N4" s="183" t="s">
        <v>257</v>
      </c>
      <c r="O4" s="185" t="s">
        <v>136</v>
      </c>
      <c r="P4" s="185" t="s">
        <v>135</v>
      </c>
      <c r="Q4" s="165" t="s">
        <v>255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244063.79</v>
      </c>
      <c r="G8" s="22">
        <f aca="true" t="shared" si="0" ref="G8:G30">F8-E8</f>
        <v>-27170.919999999955</v>
      </c>
      <c r="H8" s="51">
        <f>F8/E8*100</f>
        <v>89.98250629500923</v>
      </c>
      <c r="I8" s="36">
        <f aca="true" t="shared" si="1" ref="I8:I17">F8-D8</f>
        <v>-244412.50999999998</v>
      </c>
      <c r="J8" s="36">
        <f aca="true" t="shared" si="2" ref="J8:J14">F8/D8*100</f>
        <v>49.96430533067828</v>
      </c>
      <c r="K8" s="36">
        <f>F8-267884.5</f>
        <v>-23820.709999999992</v>
      </c>
      <c r="L8" s="136">
        <f>F8/267884.5</f>
        <v>0.9110784311895612</v>
      </c>
      <c r="M8" s="22">
        <f>M10+M19+M33+M56+M68+M30</f>
        <v>37968.180000000015</v>
      </c>
      <c r="N8" s="22">
        <f>N10+N19+N33+N56+N68+N30</f>
        <v>17644.769999999993</v>
      </c>
      <c r="O8" s="36">
        <f aca="true" t="shared" si="3" ref="O8:O71">N8-M8</f>
        <v>-20323.41000000002</v>
      </c>
      <c r="P8" s="36">
        <f>F8/M8*100</f>
        <v>642.8114015472954</v>
      </c>
      <c r="Q8" s="36">
        <f>N8-39945.7</f>
        <v>-22300.930000000004</v>
      </c>
      <c r="R8" s="134">
        <f>N8/39945.7</f>
        <v>0.4417188833841939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198770.9</v>
      </c>
      <c r="G9" s="22">
        <f t="shared" si="0"/>
        <v>198770.9</v>
      </c>
      <c r="H9" s="20"/>
      <c r="I9" s="56">
        <f t="shared" si="1"/>
        <v>-188242.30000000002</v>
      </c>
      <c r="J9" s="56">
        <f t="shared" si="2"/>
        <v>51.36023784201675</v>
      </c>
      <c r="K9" s="56"/>
      <c r="L9" s="135"/>
      <c r="M9" s="20">
        <f>M10+M17</f>
        <v>30824.800000000017</v>
      </c>
      <c r="N9" s="20">
        <f>N10+N17</f>
        <v>15772.76999999999</v>
      </c>
      <c r="O9" s="36">
        <f t="shared" si="3"/>
        <v>-15052.030000000028</v>
      </c>
      <c r="P9" s="56">
        <f>F9/M9*100</f>
        <v>644.8408424385556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198770.9</v>
      </c>
      <c r="G10" s="49">
        <f t="shared" si="0"/>
        <v>-22600.20000000001</v>
      </c>
      <c r="H10" s="40">
        <f aca="true" t="shared" si="4" ref="H10:H17">F10/E10*100</f>
        <v>89.790808285273</v>
      </c>
      <c r="I10" s="56">
        <f t="shared" si="1"/>
        <v>-188242.30000000002</v>
      </c>
      <c r="J10" s="56">
        <f t="shared" si="2"/>
        <v>51.36023784201675</v>
      </c>
      <c r="K10" s="141">
        <f>F10-211325.8</f>
        <v>-12554.899999999994</v>
      </c>
      <c r="L10" s="142">
        <f>F10/211325.8</f>
        <v>0.9405898380604735</v>
      </c>
      <c r="M10" s="40">
        <f>E10-червень!E10</f>
        <v>30824.800000000017</v>
      </c>
      <c r="N10" s="40">
        <f>F10-червень!F10</f>
        <v>15772.76999999999</v>
      </c>
      <c r="O10" s="53">
        <f t="shared" si="3"/>
        <v>-15052.030000000028</v>
      </c>
      <c r="P10" s="56">
        <f aca="true" t="shared" si="5" ref="P10:P17">N10/M10*100</f>
        <v>51.169091121434626</v>
      </c>
      <c r="Q10" s="141">
        <f>N10-32192.1</f>
        <v>-16419.33000000001</v>
      </c>
      <c r="R10" s="142">
        <f>N10/32192.1</f>
        <v>0.4899577846738793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330.76</v>
      </c>
      <c r="G19" s="49">
        <f t="shared" si="0"/>
        <v>-702.8399999999999</v>
      </c>
      <c r="H19" s="40">
        <f aca="true" t="shared" si="6" ref="H19:H29">F19/E19*100</f>
        <v>32.00077399380805</v>
      </c>
      <c r="I19" s="56">
        <f aca="true" t="shared" si="7" ref="I19:I29">F19-D19</f>
        <v>-669.24</v>
      </c>
      <c r="J19" s="56">
        <f aca="true" t="shared" si="8" ref="J19:J29">F19/D19*100</f>
        <v>33.076</v>
      </c>
      <c r="K19" s="56">
        <f>F19-6042.8</f>
        <v>-5712.04</v>
      </c>
      <c r="L19" s="135">
        <f>F19/6042.8</f>
        <v>0.054736214999669026</v>
      </c>
      <c r="M19" s="40">
        <f>E19-червень!E19</f>
        <v>10.999999999999886</v>
      </c>
      <c r="N19" s="40">
        <f>F19-червень!F19</f>
        <v>12.889999999999986</v>
      </c>
      <c r="O19" s="53">
        <f t="shared" si="3"/>
        <v>1.8900000000001</v>
      </c>
      <c r="P19" s="56">
        <f aca="true" t="shared" si="9" ref="P19:P29">N19/M19*100</f>
        <v>117.18181818181928</v>
      </c>
      <c r="Q19" s="56">
        <f>N19-422.4</f>
        <v>-409.51</v>
      </c>
      <c r="R19" s="135">
        <f>N19/422.4</f>
        <v>0.030516098484848455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10.279999999999973</v>
      </c>
      <c r="O29" s="148">
        <f t="shared" si="3"/>
        <v>39.27999999999997</v>
      </c>
      <c r="P29" s="145">
        <f t="shared" si="9"/>
        <v>-35.448275862068876</v>
      </c>
      <c r="Q29" s="148">
        <f>N29-422.37</f>
        <v>-412.09000000000003</v>
      </c>
      <c r="R29" s="149">
        <f>N29/422.37</f>
        <v>0.0243388498236143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f>2.91</f>
        <v>2.91</v>
      </c>
      <c r="G30" s="49">
        <f t="shared" si="0"/>
        <v>-15.59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E30-червень!E30</f>
        <v>0.5</v>
      </c>
      <c r="N30" s="40">
        <f>F30-червень!F30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41221.33</v>
      </c>
      <c r="G33" s="49">
        <f aca="true" t="shared" si="14" ref="G33:G72">F33-E33</f>
        <v>-3639.779999999999</v>
      </c>
      <c r="H33" s="40">
        <f aca="true" t="shared" si="15" ref="H33:H67">F33/E33*100</f>
        <v>91.88655831297977</v>
      </c>
      <c r="I33" s="56">
        <f>F33-D33</f>
        <v>-52344.67</v>
      </c>
      <c r="J33" s="56">
        <f aca="true" t="shared" si="16" ref="J33:J72">F33/D33*100</f>
        <v>44.05588568497104</v>
      </c>
      <c r="K33" s="141">
        <f>F33-46836.9</f>
        <v>-5615.57</v>
      </c>
      <c r="L33" s="142">
        <f>F33/46836.9</f>
        <v>0.880103721638281</v>
      </c>
      <c r="M33" s="40">
        <f>E33-червень!E33</f>
        <v>6579.879999999997</v>
      </c>
      <c r="N33" s="40">
        <f>F33-червень!F33</f>
        <v>1388.270000000004</v>
      </c>
      <c r="O33" s="53">
        <f t="shared" si="3"/>
        <v>-5191.609999999993</v>
      </c>
      <c r="P33" s="56">
        <f aca="true" t="shared" si="17" ref="P33:P67">N33/M33*100</f>
        <v>21.098713046438608</v>
      </c>
      <c r="Q33" s="141">
        <f>N33-6866.9</f>
        <v>-5478.629999999996</v>
      </c>
      <c r="R33" s="142">
        <f>N33/6866.9</f>
        <v>0.20216837291936743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30798.36</v>
      </c>
      <c r="G55" s="144">
        <f t="shared" si="14"/>
        <v>-2312.449999999997</v>
      </c>
      <c r="H55" s="146">
        <f t="shared" si="15"/>
        <v>93.01602709205847</v>
      </c>
      <c r="I55" s="145">
        <f t="shared" si="18"/>
        <v>-39467.64</v>
      </c>
      <c r="J55" s="145">
        <f t="shared" si="16"/>
        <v>43.831098966783365</v>
      </c>
      <c r="K55" s="148">
        <f>F55-33694.14</f>
        <v>-2895.779999999999</v>
      </c>
      <c r="L55" s="149">
        <f>F55/33694.14</f>
        <v>0.9140568656745655</v>
      </c>
      <c r="M55" s="40">
        <f>E55-червень!E55</f>
        <v>4779.879999999997</v>
      </c>
      <c r="N55" s="40">
        <f>F55-червень!F55</f>
        <v>1031.7700000000004</v>
      </c>
      <c r="O55" s="148">
        <f t="shared" si="3"/>
        <v>-3748.109999999997</v>
      </c>
      <c r="P55" s="148">
        <f t="shared" si="17"/>
        <v>21.585688343640445</v>
      </c>
      <c r="Q55" s="163">
        <f>N55-4878.99</f>
        <v>-3847.2199999999993</v>
      </c>
      <c r="R55" s="164">
        <f>N55/4878.99</f>
        <v>0.211472046468634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0.36+3736.55</f>
        <v>3736.9100000000003</v>
      </c>
      <c r="G56" s="49">
        <f t="shared" si="14"/>
        <v>-213.38999999999987</v>
      </c>
      <c r="H56" s="40">
        <f t="shared" si="15"/>
        <v>94.59813178745918</v>
      </c>
      <c r="I56" s="56">
        <f t="shared" si="18"/>
        <v>-3123.0899999999997</v>
      </c>
      <c r="J56" s="56">
        <f t="shared" si="16"/>
        <v>54.47390670553936</v>
      </c>
      <c r="K56" s="56">
        <f>F56-3653.5</f>
        <v>83.41000000000031</v>
      </c>
      <c r="L56" s="135">
        <f>F56/3653.5</f>
        <v>1.022830162857534</v>
      </c>
      <c r="M56" s="40">
        <f>E56-червень!E56</f>
        <v>552</v>
      </c>
      <c r="N56" s="40">
        <f>F56-червень!F56</f>
        <v>470.84000000000015</v>
      </c>
      <c r="O56" s="53">
        <f t="shared" si="3"/>
        <v>-81.15999999999985</v>
      </c>
      <c r="P56" s="56">
        <f t="shared" si="17"/>
        <v>85.29710144927539</v>
      </c>
      <c r="Q56" s="56">
        <f>N56-464.2</f>
        <v>6.640000000000157</v>
      </c>
      <c r="R56" s="135">
        <f>N56/464.2</f>
        <v>1.0143041792330896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7249.899999999999</v>
      </c>
      <c r="G74" s="50">
        <f aca="true" t="shared" si="24" ref="G74:G92">F74-E74</f>
        <v>-1729.1000000000013</v>
      </c>
      <c r="H74" s="51">
        <f aca="true" t="shared" si="25" ref="H74:H87">F74/E74*100</f>
        <v>80.7428444147455</v>
      </c>
      <c r="I74" s="36">
        <f aca="true" t="shared" si="26" ref="I74:I92">F74-D74</f>
        <v>-11108.400000000001</v>
      </c>
      <c r="J74" s="36">
        <f aca="true" t="shared" si="27" ref="J74:J92">F74/D74*100</f>
        <v>39.49112935293572</v>
      </c>
      <c r="K74" s="36">
        <f>F74-11260</f>
        <v>-4010.1000000000013</v>
      </c>
      <c r="L74" s="136">
        <f>F74/11260</f>
        <v>0.6438632326820602</v>
      </c>
      <c r="M74" s="22">
        <f>M77+M86+M88+M89+M94+M95+M96+M97+M99+M87+M104</f>
        <v>1550.5</v>
      </c>
      <c r="N74" s="22">
        <f>N77+N86+N88+N89+N94+N95+N96+N97+N99+N32+N104+N87+N103</f>
        <v>908.3200000000005</v>
      </c>
      <c r="O74" s="55">
        <f aca="true" t="shared" si="28" ref="O74:O92">N74-M74</f>
        <v>-642.1799999999995</v>
      </c>
      <c r="P74" s="36">
        <f>N74/M74*100</f>
        <v>58.58239277652374</v>
      </c>
      <c r="Q74" s="36">
        <f>N74-2110.7</f>
        <v>-1202.3799999999992</v>
      </c>
      <c r="R74" s="136">
        <f>N74/2110.7</f>
        <v>0.4303406452835555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65.2</v>
      </c>
      <c r="G89" s="49">
        <f t="shared" si="24"/>
        <v>-33.8</v>
      </c>
      <c r="H89" s="40">
        <f>F89/E89*100</f>
        <v>65.85858585858585</v>
      </c>
      <c r="I89" s="56">
        <f t="shared" si="26"/>
        <v>-109.8</v>
      </c>
      <c r="J89" s="56">
        <f t="shared" si="27"/>
        <v>37.25714285714286</v>
      </c>
      <c r="K89" s="56">
        <f>F89-94</f>
        <v>-28.799999999999997</v>
      </c>
      <c r="L89" s="135">
        <f>F89/94</f>
        <v>0.6936170212765957</v>
      </c>
      <c r="M89" s="40">
        <f>E89-червень!E89</f>
        <v>15</v>
      </c>
      <c r="N89" s="40">
        <f>F89-червень!F89</f>
        <v>3.4299999999999997</v>
      </c>
      <c r="O89" s="53">
        <f t="shared" si="28"/>
        <v>-11.57</v>
      </c>
      <c r="P89" s="56">
        <f>N89/M89*100</f>
        <v>22.866666666666667</v>
      </c>
      <c r="Q89" s="56">
        <f>N89-12.8</f>
        <v>-9.370000000000001</v>
      </c>
      <c r="R89" s="135">
        <f>N89/12.8</f>
        <v>0.26796875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4143.34</v>
      </c>
      <c r="G95" s="49">
        <f t="shared" si="31"/>
        <v>36.840000000000146</v>
      </c>
      <c r="H95" s="40">
        <f>F95/E95*100</f>
        <v>100.89711433093875</v>
      </c>
      <c r="I95" s="56">
        <f t="shared" si="32"/>
        <v>-2856.66</v>
      </c>
      <c r="J95" s="56">
        <f>F95/D95*100</f>
        <v>59.190571428571424</v>
      </c>
      <c r="K95" s="56">
        <f>F95-4251.4</f>
        <v>-108.05999999999949</v>
      </c>
      <c r="L95" s="135">
        <f>F95/4251.4</f>
        <v>0.9745824904737265</v>
      </c>
      <c r="M95" s="40">
        <f>E95-червень!E95</f>
        <v>575</v>
      </c>
      <c r="N95" s="40">
        <f>F95-червень!F95</f>
        <v>591.6400000000003</v>
      </c>
      <c r="O95" s="53">
        <f t="shared" si="33"/>
        <v>16.640000000000327</v>
      </c>
      <c r="P95" s="56">
        <f>N95/M95*100</f>
        <v>102.89391304347832</v>
      </c>
      <c r="Q95" s="56">
        <f>N95-621.2</f>
        <v>-29.559999999999718</v>
      </c>
      <c r="R95" s="135">
        <f>N95/621.2</f>
        <v>0.9524146812620738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463.16</v>
      </c>
      <c r="G96" s="49">
        <f t="shared" si="31"/>
        <v>-141.33999999999997</v>
      </c>
      <c r="H96" s="40">
        <f>F96/E96*100</f>
        <v>76.61869313482217</v>
      </c>
      <c r="I96" s="56">
        <f t="shared" si="32"/>
        <v>-736.8399999999999</v>
      </c>
      <c r="J96" s="56">
        <f>F96/D96*100</f>
        <v>38.59666666666667</v>
      </c>
      <c r="K96" s="56">
        <f>F96-602.5</f>
        <v>-139.33999999999997</v>
      </c>
      <c r="L96" s="135">
        <f>F96/602.5</f>
        <v>0.7687302904564316</v>
      </c>
      <c r="M96" s="40">
        <f>E96-червень!E96</f>
        <v>130</v>
      </c>
      <c r="N96" s="40">
        <f>F96-червень!F96</f>
        <v>47.83000000000004</v>
      </c>
      <c r="O96" s="53">
        <f t="shared" si="33"/>
        <v>-82.16999999999996</v>
      </c>
      <c r="P96" s="56">
        <f>N96/M96*100</f>
        <v>36.79230769230772</v>
      </c>
      <c r="Q96" s="56">
        <f>N96-139.4</f>
        <v>-91.56999999999996</v>
      </c>
      <c r="R96" s="135">
        <f>N96/139.4</f>
        <v>0.34311334289813517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2234.28</v>
      </c>
      <c r="G99" s="49">
        <f t="shared" si="31"/>
        <v>47.2800000000002</v>
      </c>
      <c r="H99" s="40">
        <f>F99/E99*100</f>
        <v>102.16186556927298</v>
      </c>
      <c r="I99" s="56">
        <f t="shared" si="32"/>
        <v>-2338.4199999999996</v>
      </c>
      <c r="J99" s="56">
        <f>F99/D99*100</f>
        <v>48.86128545498284</v>
      </c>
      <c r="K99" s="56">
        <f>F99-2623.7</f>
        <v>-389.4199999999996</v>
      </c>
      <c r="L99" s="135">
        <f>F99/2623.7</f>
        <v>0.8515760185996876</v>
      </c>
      <c r="M99" s="40">
        <f>E99-червень!E99</f>
        <v>350</v>
      </c>
      <c r="N99" s="40">
        <f>F99-червень!F99</f>
        <v>265.0000000000002</v>
      </c>
      <c r="O99" s="53">
        <f t="shared" si="33"/>
        <v>-84.99999999999977</v>
      </c>
      <c r="P99" s="56">
        <f>N99/M99*100</f>
        <v>75.71428571428578</v>
      </c>
      <c r="Q99" s="56">
        <f>N99-632</f>
        <v>-366.9999999999998</v>
      </c>
      <c r="R99" s="135">
        <f>N99/632</f>
        <v>0.4193037974683548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443.6</v>
      </c>
      <c r="G102" s="144"/>
      <c r="H102" s="146"/>
      <c r="I102" s="145"/>
      <c r="J102" s="145"/>
      <c r="K102" s="148">
        <f>F102-325</f>
        <v>118.60000000000002</v>
      </c>
      <c r="L102" s="149">
        <f>F102/325</f>
        <v>1.364923076923077</v>
      </c>
      <c r="M102" s="40">
        <f>E102-червень!E102</f>
        <v>0</v>
      </c>
      <c r="N102" s="40">
        <f>F102-червень!F102</f>
        <v>80.30000000000001</v>
      </c>
      <c r="O102" s="53"/>
      <c r="P102" s="60"/>
      <c r="Q102" s="60">
        <f>N102-80.2</f>
        <v>0.10000000000000853</v>
      </c>
      <c r="R102" s="138">
        <f>N102/80.2</f>
        <v>1.0012468827930177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251327.9</v>
      </c>
      <c r="G107" s="50">
        <f>F107-E107</f>
        <v>-28904.00999999998</v>
      </c>
      <c r="H107" s="51">
        <f>F107/E107*100</f>
        <v>89.68568211949882</v>
      </c>
      <c r="I107" s="36">
        <f t="shared" si="34"/>
        <v>-255551.69999999998</v>
      </c>
      <c r="J107" s="36">
        <f t="shared" si="36"/>
        <v>49.583352733075074</v>
      </c>
      <c r="K107" s="36">
        <f>F107-279160.4</f>
        <v>-27832.50000000003</v>
      </c>
      <c r="L107" s="136">
        <f>F107/279160.4</f>
        <v>0.900299254478787</v>
      </c>
      <c r="M107" s="22">
        <f>M8+M74+M105+M106</f>
        <v>39521.680000000015</v>
      </c>
      <c r="N107" s="22">
        <f>N8+N74+N105+N106</f>
        <v>18553.309999999994</v>
      </c>
      <c r="O107" s="55">
        <f t="shared" si="35"/>
        <v>-20968.37000000002</v>
      </c>
      <c r="P107" s="36">
        <f>N107/M107*100</f>
        <v>46.94463899307921</v>
      </c>
      <c r="Q107" s="36">
        <f>N107-42056.4</f>
        <v>-23503.090000000007</v>
      </c>
      <c r="R107" s="136">
        <f>N107/42056.4</f>
        <v>0.4411530706384758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199234.06</v>
      </c>
      <c r="G108" s="71">
        <f>G10-G18+G96</f>
        <v>-22741.54000000001</v>
      </c>
      <c r="H108" s="72">
        <f>F108/E108*100</f>
        <v>89.75493702911491</v>
      </c>
      <c r="I108" s="52">
        <f t="shared" si="34"/>
        <v>-188979.14</v>
      </c>
      <c r="J108" s="52">
        <f t="shared" si="36"/>
        <v>51.3207845585879</v>
      </c>
      <c r="K108" s="52">
        <f>F108-212017.3</f>
        <v>-12783.23999999999</v>
      </c>
      <c r="L108" s="137">
        <f>F108/212017.3</f>
        <v>0.939706618280678</v>
      </c>
      <c r="M108" s="71">
        <f>M10-M18+M96</f>
        <v>30954.800000000017</v>
      </c>
      <c r="N108" s="71">
        <f>N10-N18+N96</f>
        <v>15820.59999999999</v>
      </c>
      <c r="O108" s="53">
        <f t="shared" si="35"/>
        <v>-15134.200000000028</v>
      </c>
      <c r="P108" s="52">
        <f>N108/M108*100</f>
        <v>51.10871334978737</v>
      </c>
      <c r="Q108" s="52">
        <f>N108-32331.5</f>
        <v>-16510.90000000001</v>
      </c>
      <c r="R108" s="137">
        <f>N108/32331.5</f>
        <v>0.4893246524287456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52093.84</v>
      </c>
      <c r="G109" s="62">
        <f>F109-E109</f>
        <v>-6162.469999999972</v>
      </c>
      <c r="H109" s="72">
        <f>F109/E109*100</f>
        <v>89.42179825670391</v>
      </c>
      <c r="I109" s="52">
        <f t="shared" si="34"/>
        <v>-66572.55999999997</v>
      </c>
      <c r="J109" s="52">
        <f t="shared" si="36"/>
        <v>43.89940202112815</v>
      </c>
      <c r="K109" s="52">
        <f>F109-67143.1</f>
        <v>-15049.26000000001</v>
      </c>
      <c r="L109" s="137">
        <f>F109/67143.1</f>
        <v>0.7758628958150575</v>
      </c>
      <c r="M109" s="71">
        <f>M107-M108</f>
        <v>8566.879999999997</v>
      </c>
      <c r="N109" s="71">
        <f>N107-N108</f>
        <v>2732.7100000000046</v>
      </c>
      <c r="O109" s="53">
        <f t="shared" si="35"/>
        <v>-5834.169999999993</v>
      </c>
      <c r="P109" s="52">
        <f>N109/M109*100</f>
        <v>31.898544160768044</v>
      </c>
      <c r="Q109" s="52">
        <f>N109-9724.9</f>
        <v>-6992.189999999995</v>
      </c>
      <c r="R109" s="137">
        <f>N109/9924.9</f>
        <v>0.27533879434553543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199234.06</v>
      </c>
      <c r="G110" s="111">
        <f>F110-E110</f>
        <v>-17371.640000000014</v>
      </c>
      <c r="H110" s="72">
        <f>F110/E110*100</f>
        <v>91.98006331319996</v>
      </c>
      <c r="I110" s="81">
        <f t="shared" si="34"/>
        <v>-188979.14</v>
      </c>
      <c r="J110" s="52">
        <f t="shared" si="36"/>
        <v>51.3207845585879</v>
      </c>
      <c r="K110" s="52"/>
      <c r="L110" s="137"/>
      <c r="M110" s="72">
        <f>E110-травень!E109</f>
        <v>65489.30000000002</v>
      </c>
      <c r="N110" s="71">
        <f>N108</f>
        <v>15820.59999999999</v>
      </c>
      <c r="O110" s="118">
        <f t="shared" si="35"/>
        <v>-49668.700000000026</v>
      </c>
      <c r="P110" s="52">
        <f>N110/M110*100</f>
        <v>24.15753413152986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694.82</v>
      </c>
      <c r="G115" s="49">
        <f t="shared" si="37"/>
        <v>-1329.7799999999997</v>
      </c>
      <c r="H115" s="40">
        <f aca="true" t="shared" si="39" ref="H115:H126">F115/E115*100</f>
        <v>34.31887780302282</v>
      </c>
      <c r="I115" s="60">
        <f t="shared" si="38"/>
        <v>-2976.68</v>
      </c>
      <c r="J115" s="60">
        <f aca="true" t="shared" si="40" ref="J115:J121">F115/D115*100</f>
        <v>18.92469018112488</v>
      </c>
      <c r="K115" s="60">
        <f>F115-2198.8</f>
        <v>-1503.98</v>
      </c>
      <c r="L115" s="138">
        <f>F115/2198.8</f>
        <v>0.315999636165181</v>
      </c>
      <c r="M115" s="40">
        <f>E115-червень!E115</f>
        <v>327.5</v>
      </c>
      <c r="N115" s="40">
        <f>F115-червень!F115</f>
        <v>88.74000000000001</v>
      </c>
      <c r="O115" s="53">
        <f aca="true" t="shared" si="41" ref="O115:O126">N115-M115</f>
        <v>-238.76</v>
      </c>
      <c r="P115" s="60">
        <f>N115/M115*100</f>
        <v>27.096183206106872</v>
      </c>
      <c r="Q115" s="60">
        <f>N115-307.3</f>
        <v>-218.56</v>
      </c>
      <c r="R115" s="138">
        <f>N115/307.3</f>
        <v>0.2887731858119102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877.0200000000001</v>
      </c>
      <c r="G117" s="62">
        <f t="shared" si="37"/>
        <v>-1304.08</v>
      </c>
      <c r="H117" s="72">
        <f t="shared" si="39"/>
        <v>40.20998578698822</v>
      </c>
      <c r="I117" s="61">
        <f t="shared" si="38"/>
        <v>-3062.58</v>
      </c>
      <c r="J117" s="61">
        <f t="shared" si="40"/>
        <v>22.26165092902833</v>
      </c>
      <c r="K117" s="61">
        <f>F117-2366</f>
        <v>-1488.98</v>
      </c>
      <c r="L117" s="139">
        <f>F117/2366</f>
        <v>0.37067624683009304</v>
      </c>
      <c r="M117" s="62">
        <f>M115+M116+M114</f>
        <v>349.5</v>
      </c>
      <c r="N117" s="38">
        <f>SUM(N114:N116)</f>
        <v>106.87</v>
      </c>
      <c r="O117" s="61">
        <f t="shared" si="41"/>
        <v>-242.63</v>
      </c>
      <c r="P117" s="61">
        <f>N117/M117*100</f>
        <v>30.577968526466382</v>
      </c>
      <c r="Q117" s="61">
        <f>N117-335.5</f>
        <v>-228.63</v>
      </c>
      <c r="R117" s="139">
        <f>N117/335.5</f>
        <v>0.31853949329359166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145.69</v>
      </c>
      <c r="G119" s="49">
        <f t="shared" si="37"/>
        <v>-36.81</v>
      </c>
      <c r="H119" s="40">
        <f t="shared" si="39"/>
        <v>79.83013698630137</v>
      </c>
      <c r="I119" s="60">
        <f t="shared" si="38"/>
        <v>-121.50999999999999</v>
      </c>
      <c r="J119" s="60">
        <f t="shared" si="40"/>
        <v>54.5247005988024</v>
      </c>
      <c r="K119" s="60">
        <f>F119-172.6</f>
        <v>-26.909999999999997</v>
      </c>
      <c r="L119" s="138">
        <f>F119/172.6</f>
        <v>0.844090382387022</v>
      </c>
      <c r="M119" s="40">
        <f>E119-червень!E119</f>
        <v>73</v>
      </c>
      <c r="N119" s="40">
        <f>F119-червень!F119</f>
        <v>7.409999999999997</v>
      </c>
      <c r="O119" s="53">
        <f>N119-M119</f>
        <v>-65.59</v>
      </c>
      <c r="P119" s="60">
        <f>N119/M119*100</f>
        <v>10.150684931506843</v>
      </c>
      <c r="Q119" s="60">
        <f>N119-76.8</f>
        <v>-69.39</v>
      </c>
      <c r="R119" s="138">
        <f>N119/76.8</f>
        <v>0.09648437499999996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41357.13</v>
      </c>
      <c r="G120" s="49">
        <f t="shared" si="37"/>
        <v>44.529999999998836</v>
      </c>
      <c r="H120" s="40">
        <f t="shared" si="39"/>
        <v>100.10778793878865</v>
      </c>
      <c r="I120" s="53">
        <f t="shared" si="38"/>
        <v>-30618.860000000008</v>
      </c>
      <c r="J120" s="60">
        <f t="shared" si="40"/>
        <v>57.45961952034282</v>
      </c>
      <c r="K120" s="60">
        <f>F120-39659.2</f>
        <v>1697.9300000000003</v>
      </c>
      <c r="L120" s="138">
        <f>F120/39659.2</f>
        <v>1.0428130169040222</v>
      </c>
      <c r="M120" s="40">
        <f>E120-червень!E120</f>
        <v>7100</v>
      </c>
      <c r="N120" s="40">
        <f>F120-червень!F120</f>
        <v>3303.4199999999983</v>
      </c>
      <c r="O120" s="53">
        <f t="shared" si="41"/>
        <v>-3796.5800000000017</v>
      </c>
      <c r="P120" s="60">
        <f aca="true" t="shared" si="42" ref="P120:P125">N120/M120*100</f>
        <v>46.5270422535211</v>
      </c>
      <c r="Q120" s="60">
        <v>7148.5</v>
      </c>
      <c r="R120" s="138">
        <f>N120/7148.5</f>
        <v>0.46211373015317875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1678.12</v>
      </c>
      <c r="G121" s="49">
        <f t="shared" si="37"/>
        <v>-4.880000000000109</v>
      </c>
      <c r="H121" s="40">
        <f t="shared" si="39"/>
        <v>99.71004159239453</v>
      </c>
      <c r="I121" s="60">
        <f t="shared" si="38"/>
        <v>-8321.880000000001</v>
      </c>
      <c r="J121" s="60">
        <f t="shared" si="40"/>
        <v>16.7812</v>
      </c>
      <c r="K121" s="60">
        <f>F121-1120.9</f>
        <v>557.2199999999998</v>
      </c>
      <c r="L121" s="138">
        <f>F121/1120.9</f>
        <v>1.4971183870104379</v>
      </c>
      <c r="M121" s="40">
        <f>E121-червень!E121</f>
        <v>16</v>
      </c>
      <c r="N121" s="40">
        <f>F121-червень!F121</f>
        <v>19.179999999999836</v>
      </c>
      <c r="O121" s="53">
        <f t="shared" si="41"/>
        <v>3.1799999999998363</v>
      </c>
      <c r="P121" s="60">
        <f t="shared" si="42"/>
        <v>119.87499999999898</v>
      </c>
      <c r="Q121" s="60">
        <f>N121-496.3</f>
        <v>-477.1200000000002</v>
      </c>
      <c r="R121" s="138">
        <f>N121/496.3</f>
        <v>0.03864598025387837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2136.78</v>
      </c>
      <c r="G122" s="49">
        <f t="shared" si="37"/>
        <v>-5095.719999999999</v>
      </c>
      <c r="H122" s="40">
        <f t="shared" si="39"/>
        <v>29.54414103007259</v>
      </c>
      <c r="I122" s="60">
        <f t="shared" si="38"/>
        <v>-20941.22</v>
      </c>
      <c r="J122" s="60">
        <f>F122/D122*100</f>
        <v>9.258947915763931</v>
      </c>
      <c r="K122" s="60">
        <f>F122-14177.3</f>
        <v>-12040.519999999999</v>
      </c>
      <c r="L122" s="138">
        <f>F122/14177.3</f>
        <v>0.15071840195241692</v>
      </c>
      <c r="M122" s="40">
        <f>E122-червень!E122</f>
        <v>2409.8999999999996</v>
      </c>
      <c r="N122" s="40">
        <f>F122-червень!F122</f>
        <v>19.65000000000009</v>
      </c>
      <c r="O122" s="53">
        <f t="shared" si="41"/>
        <v>-2390.2499999999995</v>
      </c>
      <c r="P122" s="60">
        <f t="shared" si="42"/>
        <v>0.815386530561438</v>
      </c>
      <c r="Q122" s="60">
        <f>N122-329.4</f>
        <v>-309.7499999999999</v>
      </c>
      <c r="R122" s="138">
        <f>N122/329.4</f>
        <v>0.05965391621129354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46081.94</v>
      </c>
      <c r="G124" s="62">
        <f t="shared" si="37"/>
        <v>-5380.699999999997</v>
      </c>
      <c r="H124" s="72">
        <f t="shared" si="39"/>
        <v>89.54445399614167</v>
      </c>
      <c r="I124" s="61">
        <f t="shared" si="38"/>
        <v>-61239.25</v>
      </c>
      <c r="J124" s="61">
        <f>F124/D124*100</f>
        <v>42.93834237208887</v>
      </c>
      <c r="K124" s="61">
        <f>F124-56479.4</f>
        <v>-10397.46</v>
      </c>
      <c r="L124" s="139">
        <f>F124/56479.4</f>
        <v>0.8159070386725071</v>
      </c>
      <c r="M124" s="62">
        <f>M120+M121+M122+M123+M119</f>
        <v>9788.49</v>
      </c>
      <c r="N124" s="62">
        <f>N120+N121+N122+N123+N119</f>
        <v>3385.569999999998</v>
      </c>
      <c r="O124" s="61">
        <f t="shared" si="41"/>
        <v>-6402.920000000002</v>
      </c>
      <c r="P124" s="61">
        <f t="shared" si="42"/>
        <v>34.58725503116413</v>
      </c>
      <c r="Q124" s="61">
        <f>N124-8200.3</f>
        <v>-4814.730000000001</v>
      </c>
      <c r="R124" s="139">
        <f>N124/8200.3</f>
        <v>0.41285928563589114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E127-червень!E127</f>
        <v>0</v>
      </c>
      <c r="N127" s="40">
        <f>F127-червень!F127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5298.66</v>
      </c>
      <c r="G128" s="49">
        <f aca="true" t="shared" si="43" ref="G128:G135">F128-E128</f>
        <v>283.15999999999985</v>
      </c>
      <c r="H128" s="40">
        <f>F128/E128*100</f>
        <v>105.645698335161</v>
      </c>
      <c r="I128" s="60">
        <f aca="true" t="shared" si="44" ref="I128:I135">F128-D128</f>
        <v>-3401.34</v>
      </c>
      <c r="J128" s="60">
        <f>F128/D128*100</f>
        <v>60.904137931034484</v>
      </c>
      <c r="K128" s="60">
        <f>F128-6320.8</f>
        <v>-1022.1400000000003</v>
      </c>
      <c r="L128" s="138">
        <f>F128/6320.8</f>
        <v>0.8382894570307555</v>
      </c>
      <c r="M128" s="40">
        <f>E128-червень!E128</f>
        <v>3</v>
      </c>
      <c r="N128" s="40">
        <f>F128-червень!F128</f>
        <v>3.0999999999994543</v>
      </c>
      <c r="O128" s="53">
        <f aca="true" t="shared" si="45" ref="O128:O135">N128-M128</f>
        <v>0.0999999999994543</v>
      </c>
      <c r="P128" s="60">
        <f>N128/M128*100</f>
        <v>103.33333333331514</v>
      </c>
      <c r="Q128" s="60">
        <f>N128-19.4</f>
        <v>-16.300000000000544</v>
      </c>
      <c r="R128" s="162">
        <f>N128/19.4</f>
        <v>0.15979381443296156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0.34</v>
      </c>
      <c r="G129" s="49">
        <f t="shared" si="43"/>
        <v>0.34</v>
      </c>
      <c r="H129" s="40"/>
      <c r="I129" s="60">
        <f t="shared" si="44"/>
        <v>0.34</v>
      </c>
      <c r="J129" s="60"/>
      <c r="K129" s="60">
        <f>F129-(-0.1)</f>
        <v>0.44000000000000006</v>
      </c>
      <c r="L129" s="138">
        <f>F129/(-0.1)</f>
        <v>-3.4</v>
      </c>
      <c r="M129" s="40">
        <f>E129-червень!E129</f>
        <v>0</v>
      </c>
      <c r="N129" s="40">
        <f>F129-червень!F129</f>
        <v>0.08000000000000002</v>
      </c>
      <c r="O129" s="53">
        <f t="shared" si="45"/>
        <v>0.08000000000000002</v>
      </c>
      <c r="P129" s="60"/>
      <c r="Q129" s="60">
        <f>N129-0.3</f>
        <v>-0.21999999999999997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5330.93</v>
      </c>
      <c r="G130" s="62">
        <f t="shared" si="43"/>
        <v>289.0700000000006</v>
      </c>
      <c r="H130" s="72">
        <f>F130/E130*100</f>
        <v>105.73339997540592</v>
      </c>
      <c r="I130" s="61">
        <f t="shared" si="44"/>
        <v>-3419.7700000000004</v>
      </c>
      <c r="J130" s="61">
        <f>F130/D130*100</f>
        <v>60.920040682459685</v>
      </c>
      <c r="K130" s="61">
        <f>F130-6438.4</f>
        <v>-1107.4699999999993</v>
      </c>
      <c r="L130" s="139">
        <f>G130/6438.4</f>
        <v>0.04489780069582515</v>
      </c>
      <c r="M130" s="62">
        <f>M125+M128+M129+M127</f>
        <v>5</v>
      </c>
      <c r="N130" s="62">
        <f>N125+N128+N129+N127</f>
        <v>3.1799999999994544</v>
      </c>
      <c r="O130" s="61">
        <f t="shared" si="45"/>
        <v>-1.8200000000005456</v>
      </c>
      <c r="P130" s="61">
        <f>N130/M130*100</f>
        <v>63.59999999998909</v>
      </c>
      <c r="Q130" s="61">
        <f>N130-28.2</f>
        <v>-25.020000000000543</v>
      </c>
      <c r="R130" s="137">
        <f>N130/28.2</f>
        <v>0.11276595744678916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52311.880000000005</v>
      </c>
      <c r="G134" s="50">
        <f t="shared" si="43"/>
        <v>-6389.769999999997</v>
      </c>
      <c r="H134" s="51">
        <f>F134/E134*100</f>
        <v>89.1148374875323</v>
      </c>
      <c r="I134" s="36">
        <f t="shared" si="44"/>
        <v>-67729.61</v>
      </c>
      <c r="J134" s="36">
        <f>F134/D134*100</f>
        <v>43.578166182375774</v>
      </c>
      <c r="K134" s="36">
        <f>F134-65301.1</f>
        <v>-12989.219999999994</v>
      </c>
      <c r="L134" s="136">
        <f>F134/65301.1</f>
        <v>0.8010872711179445</v>
      </c>
      <c r="M134" s="31">
        <f>M117+M131+M124+M130+M133+M132</f>
        <v>10143.39</v>
      </c>
      <c r="N134" s="31">
        <f>N117+N131+N124+N130+N133+N132</f>
        <v>3496.489999999997</v>
      </c>
      <c r="O134" s="36">
        <f t="shared" si="45"/>
        <v>-6646.900000000002</v>
      </c>
      <c r="P134" s="36">
        <f>N134/M134*100</f>
        <v>34.4706256981147</v>
      </c>
      <c r="Q134" s="36">
        <f>N134-8564.5</f>
        <v>-5068.010000000003</v>
      </c>
      <c r="R134" s="136">
        <f>N134/8564.5</f>
        <v>0.40825383851946956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303639.78</v>
      </c>
      <c r="G135" s="50">
        <f t="shared" si="43"/>
        <v>-35293.77999999997</v>
      </c>
      <c r="H135" s="51">
        <f>F135/E135*100</f>
        <v>89.58681459575736</v>
      </c>
      <c r="I135" s="36">
        <f t="shared" si="44"/>
        <v>-323281.30999999994</v>
      </c>
      <c r="J135" s="36">
        <f>F135/D135*100</f>
        <v>48.4334926425908</v>
      </c>
      <c r="K135" s="36">
        <f>F135-344461.4</f>
        <v>-40821.619999999995</v>
      </c>
      <c r="L135" s="136">
        <f>F135/344461.4</f>
        <v>0.8814914530336345</v>
      </c>
      <c r="M135" s="22">
        <f>M107+M134</f>
        <v>49665.070000000014</v>
      </c>
      <c r="N135" s="22">
        <f>N107+N134</f>
        <v>22049.799999999992</v>
      </c>
      <c r="O135" s="36">
        <f t="shared" si="45"/>
        <v>-27615.270000000022</v>
      </c>
      <c r="P135" s="36">
        <f>N135/M135*100</f>
        <v>44.396997728987365</v>
      </c>
      <c r="Q135" s="36">
        <f>N135-50620.9</f>
        <v>-28571.10000000001</v>
      </c>
      <c r="R135" s="136">
        <f>N135/50620.9</f>
        <v>0.43558688209810553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12</v>
      </c>
      <c r="D137" s="4" t="s">
        <v>118</v>
      </c>
    </row>
    <row r="138" spans="2:17" ht="31.5">
      <c r="B138" s="78" t="s">
        <v>154</v>
      </c>
      <c r="C138" s="39">
        <f>IF(O107&lt;0,ABS(O107/C137),0)</f>
        <v>1747.3641666666683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41835</v>
      </c>
      <c r="D139" s="39">
        <v>3612.3</v>
      </c>
      <c r="N139" s="179"/>
      <c r="O139" s="179"/>
    </row>
    <row r="140" spans="3:15" ht="15.75">
      <c r="C140" s="120">
        <v>41834</v>
      </c>
      <c r="D140" s="39">
        <v>959</v>
      </c>
      <c r="F140" s="4" t="s">
        <v>166</v>
      </c>
      <c r="G140" s="175" t="s">
        <v>151</v>
      </c>
      <c r="H140" s="175"/>
      <c r="I140" s="115"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41831</v>
      </c>
      <c r="D141" s="39">
        <v>958.1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117273.27044</v>
      </c>
      <c r="E143" s="80"/>
      <c r="F143" s="100" t="s">
        <v>147</v>
      </c>
      <c r="G143" s="175" t="s">
        <v>149</v>
      </c>
      <c r="H143" s="175"/>
      <c r="I143" s="116">
        <v>103448.04847999998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41660.64717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1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5" sqref="F10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5" t="s">
        <v>240</v>
      </c>
      <c r="L4" s="166"/>
      <c r="M4" s="204"/>
      <c r="N4" s="183" t="s">
        <v>247</v>
      </c>
      <c r="O4" s="185" t="s">
        <v>136</v>
      </c>
      <c r="P4" s="185" t="s">
        <v>135</v>
      </c>
      <c r="Q4" s="165" t="s">
        <v>242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828.87</v>
      </c>
      <c r="G29" s="49">
        <f t="shared" si="0"/>
        <v>66.26999999999998</v>
      </c>
      <c r="H29" s="40">
        <f t="shared" si="6"/>
        <v>108.69000786782061</v>
      </c>
      <c r="I29" s="56">
        <f t="shared" si="7"/>
        <v>-101.13</v>
      </c>
      <c r="J29" s="56">
        <f t="shared" si="8"/>
        <v>89.1258064516129</v>
      </c>
      <c r="K29" s="148">
        <f>F29-2001.3</f>
        <v>-1172.4299999999998</v>
      </c>
      <c r="L29" s="149">
        <f>F29/2001.3</f>
        <v>0.41416579223504724</v>
      </c>
      <c r="M29" s="146">
        <f>E29-травень!E29</f>
        <v>11</v>
      </c>
      <c r="N29" s="40">
        <f>F29-травень!F29</f>
        <v>23.210000000000036</v>
      </c>
      <c r="O29" s="148">
        <f t="shared" si="3"/>
        <v>12.210000000000036</v>
      </c>
      <c r="P29" s="145">
        <f t="shared" si="9"/>
        <v>211.00000000000034</v>
      </c>
      <c r="Q29" s="148">
        <f>N29-403.3</f>
        <v>-380.09</v>
      </c>
      <c r="R29" s="149">
        <f>N29/403.3</f>
        <v>0.05755021076122002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363.3</v>
      </c>
      <c r="G102" s="144"/>
      <c r="H102" s="146"/>
      <c r="I102" s="145"/>
      <c r="J102" s="145"/>
      <c r="K102" s="148">
        <f>F102-244.8</f>
        <v>118.5</v>
      </c>
      <c r="L102" s="149">
        <f>F102/244.8</f>
        <v>1.4840686274509804</v>
      </c>
      <c r="M102" s="40">
        <f>E102-травень!E102</f>
        <v>0</v>
      </c>
      <c r="N102" s="146">
        <f>F102-травень!F102</f>
        <v>72.10000000000002</v>
      </c>
      <c r="O102" s="53"/>
      <c r="P102" s="60"/>
      <c r="Q102" s="60">
        <f>N102-60.1</f>
        <v>12.000000000000021</v>
      </c>
      <c r="R102" s="138">
        <f>N102/60.1</f>
        <v>1.1996672212978372</v>
      </c>
    </row>
    <row r="103" spans="1:18" s="6" customFormat="1" ht="15.75">
      <c r="A103" s="8"/>
      <c r="B103" s="67" t="s">
        <v>100</v>
      </c>
      <c r="C103" s="167">
        <v>24060600</v>
      </c>
      <c r="D103" s="144"/>
      <c r="E103" s="144"/>
      <c r="F103" s="168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5" t="s">
        <v>231</v>
      </c>
      <c r="L4" s="166"/>
      <c r="M4" s="204"/>
      <c r="N4" s="183" t="s">
        <v>236</v>
      </c>
      <c r="O4" s="185" t="s">
        <v>136</v>
      </c>
      <c r="P4" s="185" t="s">
        <v>135</v>
      </c>
      <c r="Q4" s="165" t="s">
        <v>234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9" sqref="F1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5" t="s">
        <v>219</v>
      </c>
      <c r="L4" s="166"/>
      <c r="M4" s="204"/>
      <c r="N4" s="183" t="s">
        <v>227</v>
      </c>
      <c r="O4" s="185" t="s">
        <v>136</v>
      </c>
      <c r="P4" s="185" t="s">
        <v>135</v>
      </c>
      <c r="Q4" s="165" t="s">
        <v>222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41660.64717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5" t="s">
        <v>196</v>
      </c>
      <c r="L4" s="166"/>
      <c r="M4" s="204"/>
      <c r="N4" s="183" t="s">
        <v>213</v>
      </c>
      <c r="O4" s="185" t="s">
        <v>136</v>
      </c>
      <c r="P4" s="185" t="s">
        <v>135</v>
      </c>
      <c r="Q4" s="165" t="s">
        <v>197</v>
      </c>
      <c r="R4" s="166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191</v>
      </c>
      <c r="F4" s="216" t="s">
        <v>116</v>
      </c>
      <c r="G4" s="218" t="s">
        <v>167</v>
      </c>
      <c r="H4" s="189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83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184</v>
      </c>
      <c r="L5" s="181"/>
      <c r="M5" s="213"/>
      <c r="N5" s="184"/>
      <c r="O5" s="221"/>
      <c r="P5" s="208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91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5"/>
      <c r="B4" s="197"/>
      <c r="C4" s="198"/>
      <c r="D4" s="209"/>
      <c r="E4" s="214" t="s">
        <v>153</v>
      </c>
      <c r="F4" s="216" t="s">
        <v>116</v>
      </c>
      <c r="G4" s="218" t="s">
        <v>175</v>
      </c>
      <c r="H4" s="189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83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09"/>
      <c r="E5" s="215"/>
      <c r="F5" s="217"/>
      <c r="G5" s="219"/>
      <c r="H5" s="190"/>
      <c r="I5" s="221"/>
      <c r="J5" s="223"/>
      <c r="K5" s="180" t="s">
        <v>177</v>
      </c>
      <c r="L5" s="181"/>
      <c r="M5" s="192"/>
      <c r="N5" s="184"/>
      <c r="O5" s="221"/>
      <c r="P5" s="208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2014-07-15T07:42:58Z</cp:lastPrinted>
  <dcterms:created xsi:type="dcterms:W3CDTF">2003-07-28T11:27:56Z</dcterms:created>
  <dcterms:modified xsi:type="dcterms:W3CDTF">2014-07-16T13:53:36Z</dcterms:modified>
  <cp:category/>
  <cp:version/>
  <cp:contentType/>
  <cp:contentStatus/>
</cp:coreProperties>
</file>